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-159" sheetId="1" r:id="rId1"/>
    <sheet name="2-159" sheetId="2" r:id="rId2"/>
  </sheets>
  <calcPr calcId="144525"/>
</workbook>
</file>

<file path=xl/calcChain.xml><?xml version="1.0" encoding="utf-8"?>
<calcChain xmlns="http://schemas.openxmlformats.org/spreadsheetml/2006/main">
  <c r="AF46" i="2" l="1"/>
  <c r="AE46" i="2"/>
  <c r="AC46" i="2"/>
  <c r="Y46" i="2" s="1"/>
  <c r="AI45" i="2"/>
  <c r="AH45" i="2"/>
  <c r="AG45" i="2"/>
  <c r="AD45" i="2"/>
  <c r="AB45" i="2"/>
  <c r="Y44" i="2"/>
  <c r="Y43" i="2"/>
  <c r="AF42" i="2"/>
  <c r="AE42" i="2"/>
  <c r="AC42" i="2"/>
  <c r="Y42" i="2" s="1"/>
  <c r="AF41" i="2"/>
  <c r="AE41" i="2"/>
  <c r="AC41" i="2"/>
  <c r="Y41" i="2"/>
  <c r="AF40" i="2"/>
  <c r="AE40" i="2"/>
  <c r="AC40" i="2"/>
  <c r="Y40" i="2"/>
  <c r="AF39" i="2"/>
  <c r="AF45" i="2" s="1"/>
  <c r="AE39" i="2"/>
  <c r="AE45" i="2" s="1"/>
  <c r="AC39" i="2"/>
  <c r="AC45" i="2" s="1"/>
  <c r="AA39" i="2"/>
  <c r="AA45" i="2" s="1"/>
  <c r="Y45" i="2" s="1"/>
  <c r="T46" i="2"/>
  <c r="Q46" i="2"/>
  <c r="U46" i="2" s="1"/>
  <c r="P46" i="2"/>
  <c r="X45" i="2"/>
  <c r="W45" i="2"/>
  <c r="V45" i="2"/>
  <c r="S45" i="2"/>
  <c r="N44" i="2"/>
  <c r="N43" i="2"/>
  <c r="Q42" i="2"/>
  <c r="U42" i="2" s="1"/>
  <c r="P42" i="2"/>
  <c r="Q41" i="2"/>
  <c r="R41" i="2" s="1"/>
  <c r="P41" i="2"/>
  <c r="R40" i="2"/>
  <c r="Q40" i="2"/>
  <c r="U40" i="2" s="1"/>
  <c r="P40" i="2"/>
  <c r="N40" i="2" s="1"/>
  <c r="T39" i="2"/>
  <c r="T45" i="2" s="1"/>
  <c r="Q39" i="2"/>
  <c r="Q45" i="2" s="1"/>
  <c r="P39" i="2"/>
  <c r="Y39" i="2" l="1"/>
  <c r="P45" i="2"/>
  <c r="R39" i="2"/>
  <c r="U39" i="2"/>
  <c r="R42" i="2"/>
  <c r="N41" i="2"/>
  <c r="R45" i="2"/>
  <c r="N42" i="2"/>
  <c r="U41" i="2"/>
  <c r="N39" i="2"/>
  <c r="R46" i="2"/>
  <c r="N46" i="2" s="1"/>
  <c r="F17" i="2"/>
  <c r="F16" i="2"/>
  <c r="F14" i="2"/>
  <c r="F13" i="2"/>
  <c r="F15" i="2"/>
  <c r="F12" i="2"/>
  <c r="E23" i="2"/>
  <c r="F19" i="2"/>
  <c r="F25" i="2" s="1"/>
  <c r="F31" i="2" s="1"/>
  <c r="E12" i="2"/>
  <c r="E19" i="2" s="1"/>
  <c r="E25" i="2" s="1"/>
  <c r="E31" i="2" s="1"/>
  <c r="E17" i="2"/>
  <c r="E16" i="2"/>
  <c r="E15" i="2"/>
  <c r="E14" i="2"/>
  <c r="E13" i="2"/>
  <c r="E10" i="2"/>
  <c r="E9" i="2"/>
  <c r="E8" i="2"/>
  <c r="E7" i="2"/>
  <c r="E6" i="2"/>
  <c r="U45" i="2" l="1"/>
  <c r="N45" i="2" s="1"/>
  <c r="I41" i="2" l="1"/>
  <c r="I40" i="2"/>
  <c r="E46" i="2"/>
  <c r="E42" i="2"/>
  <c r="E41" i="2"/>
  <c r="E40" i="2"/>
  <c r="E39" i="2"/>
  <c r="C44" i="2"/>
  <c r="C43" i="2"/>
  <c r="L45" i="2"/>
  <c r="K45" i="2"/>
  <c r="H45" i="2"/>
  <c r="F46" i="2"/>
  <c r="F42" i="2"/>
  <c r="F41" i="2"/>
  <c r="F40" i="2"/>
  <c r="F39" i="2"/>
  <c r="F45" i="2"/>
  <c r="D10" i="2"/>
  <c r="D9" i="2"/>
  <c r="D8" i="2"/>
  <c r="D7" i="2"/>
  <c r="D6" i="2"/>
  <c r="D12" i="2"/>
  <c r="M40" i="2" l="1"/>
  <c r="J40" i="2"/>
  <c r="M42" i="2"/>
  <c r="J42" i="2"/>
  <c r="G40" i="2"/>
  <c r="G42" i="2"/>
  <c r="J39" i="2"/>
  <c r="M39" i="2"/>
  <c r="J41" i="2"/>
  <c r="M41" i="2"/>
  <c r="J46" i="2"/>
  <c r="M46" i="2"/>
  <c r="G39" i="2"/>
  <c r="G41" i="2"/>
  <c r="C41" i="2" s="1"/>
  <c r="G46" i="2"/>
  <c r="C42" i="2"/>
  <c r="I45" i="2"/>
  <c r="C40" i="2"/>
  <c r="E45" i="2"/>
  <c r="C39" i="2"/>
  <c r="M45" i="2" l="1"/>
  <c r="G45" i="2"/>
  <c r="C46" i="2"/>
  <c r="J45" i="2"/>
  <c r="C45" i="2" l="1"/>
</calcChain>
</file>

<file path=xl/sharedStrings.xml><?xml version="1.0" encoding="utf-8"?>
<sst xmlns="http://schemas.openxmlformats.org/spreadsheetml/2006/main" count="148" uniqueCount="80">
  <si>
    <t xml:space="preserve">Раскрытие информации о ценах (тарифах, сборах) на регулируемые работы (услуги) </t>
  </si>
  <si>
    <t>в аэропортах Южно-Курильск, Ясный казённого предприятия Сахалинской области</t>
  </si>
  <si>
    <t>"Аэропорты Курильских островов"</t>
  </si>
  <si>
    <t>№ п/п</t>
  </si>
  <si>
    <t>Перечень услуг (работ)</t>
  </si>
  <si>
    <t>Ед. изм.</t>
  </si>
  <si>
    <t>Реквизиты нормативного правового  и иного акта отрага исполнительной власти субъекта РФ в области государственного регулирования тарифов</t>
  </si>
  <si>
    <t>Наименование органа исполнительной власти, осуществляющего государственное регулирование</t>
  </si>
  <si>
    <t>Сбор за взлёт-посадку (включая стоянку воздушных судов на аэродроме в течение 3-х часов после посадки для пассажирских и 6-ти часов для грузовых и грузопассажирских сертифицированных типов воздушных судов при наличии грузов (почты), подлежащих обработке (погрузке и/или выгрузке) в аэропорту посадки</t>
  </si>
  <si>
    <t>руб./т.м.в.м.</t>
  </si>
  <si>
    <t>Цена (тарифы, сборы), руб.</t>
  </si>
  <si>
    <t>Приказ от 23.12.2014 №52</t>
  </si>
  <si>
    <t>Региональная энергетическая комиссия Сахалинской области</t>
  </si>
  <si>
    <t>Сбор за стоянку воздушных судов на аэродроме  более 3х часов после посадки для пассажирских и 6-ти часов для грузовых и грузопассажирских сертифицированных типов воздушных судов при наличии грузов (почты), подлежащих обработке (погрузке и/или выгрузке) в аэропорту посадки</t>
  </si>
  <si>
    <t>% от сбора за взлёт-посадку за 1 час</t>
  </si>
  <si>
    <t>Сбор за обеспечение авиационной безопасности</t>
  </si>
  <si>
    <t>Сбор за предоставление аэровокзального комплекса на внутренних линиях</t>
  </si>
  <si>
    <t>руб./пасс</t>
  </si>
  <si>
    <t>Тариф  за обслуживание пассажиров на внутренних линиях</t>
  </si>
  <si>
    <t>Раскрытие информации об основных показателях финансово-хозяйственной деятельности КП "Аэропорты Курильских островов" в сфере выполнения (оказания) регулируемых работ (услуг) в аэропортах Южно-Курильск, Ясный</t>
  </si>
  <si>
    <t>Наименование показателей финансово-хозяйственной деятельности в сфере услуг аэропортов</t>
  </si>
  <si>
    <t>2017 год - факт</t>
  </si>
  <si>
    <t>2018 год - план</t>
  </si>
  <si>
    <t>2019 год - прогноз</t>
  </si>
  <si>
    <t>Доходы всего, в том числе по видам регулируемых услуг:</t>
  </si>
  <si>
    <t>1.1.</t>
  </si>
  <si>
    <t>взлёт-посадка</t>
  </si>
  <si>
    <t>1.2.</t>
  </si>
  <si>
    <t>Авиабезопасность</t>
  </si>
  <si>
    <t>1.3.</t>
  </si>
  <si>
    <t>Сверхнормативная стоянка ВС</t>
  </si>
  <si>
    <t>1.4.</t>
  </si>
  <si>
    <t>Предоставление аэровокзального комплекса</t>
  </si>
  <si>
    <t>1.5.</t>
  </si>
  <si>
    <t>Обслуживание пассажиров</t>
  </si>
  <si>
    <t>Расходы всего (включая коммерческие, управленческие расходы), в том числе по видам регулируемых услуг</t>
  </si>
  <si>
    <t>2.1.</t>
  </si>
  <si>
    <t>2.2.</t>
  </si>
  <si>
    <t>2.3.</t>
  </si>
  <si>
    <t>2.4.</t>
  </si>
  <si>
    <t>2.5.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</si>
  <si>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</si>
  <si>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</si>
  <si>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</si>
  <si>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</si>
  <si>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</si>
  <si>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</si>
  <si>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</si>
  <si>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</si>
  <si>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10.1.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</si>
  <si>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</si>
  <si>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</si>
  <si>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</si>
  <si>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</si>
  <si>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</si>
  <si>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 Доходы и расходы</t>
  </si>
  <si>
    <t>2.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</si>
  <si>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</si>
  <si>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</si>
  <si>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</si>
  <si>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</si>
  <si>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</si>
  <si>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</si>
  <si>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</si>
  <si>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</si>
  <si>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</si>
  <si>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 кредитных организаций</t>
  </si>
  <si>
    <t>проценты к уплате по кредитам и займам</t>
  </si>
  <si>
    <t>налоги и иные обязательные платеди и сборы</t>
  </si>
  <si>
    <t>прочие расходы</t>
  </si>
  <si>
    <t>Регулируемые виды деятельности</t>
  </si>
  <si>
    <t>Обеспечение взлёта, посадки и стоянки ВС</t>
  </si>
  <si>
    <t>Обеспечение авиационной безопасности</t>
  </si>
  <si>
    <t>Обеспечение заправки ВС</t>
  </si>
  <si>
    <t>Хранение авиационного топлива</t>
  </si>
  <si>
    <t>Итого:</t>
  </si>
  <si>
    <t>Прочие доходы и расходы</t>
  </si>
  <si>
    <t>тыс.руб.</t>
  </si>
  <si>
    <t>2017 год - факт, тыс.руб.</t>
  </si>
  <si>
    <t>2019 год - прогноз,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</si>
</sst>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" fontId="1" fillId="0" borderId="1" xfId="0" applyNumberFormat="1" applyFont="1" applyBorder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wrapText="1"/>
    </xf>
    <xf numFmtId="1" fontId="1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8"/>
  <sheetViews>
    <sheetView tabSelected="1" workbookViewId="0">
      <selection activeCell="C8" sqref="C8"/>
    </sheetView>
  </sheetViews>
  <sheetFormatPr defaultRowHeight="15" x14ac:dyDescent="0.25"/>
  <cols>
    <col min="1" max="1" width="8.5703125" customWidth="1"/>
    <col min="2" max="2" width="40.85546875" customWidth="1"/>
    <col min="3" max="3" width="12.85546875" customWidth="1"/>
    <col min="4" max="4" width="16.5703125" customWidth="1"/>
    <col min="5" max="5" width="19.140625" customWidth="1"/>
    <col min="6" max="6" width="31.85546875" customWidth="1"/>
  </cols>
  <sheetData>
    <row r="1" spans="1:25" ht="15.75" x14ac:dyDescent="0.25">
      <c r="A1" s="13" t="s">
        <v>0</v>
      </c>
      <c r="B1" s="13"/>
      <c r="C1" s="13"/>
      <c r="D1" s="13"/>
      <c r="E1" s="13"/>
      <c r="F1" s="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13" t="s">
        <v>1</v>
      </c>
      <c r="B2" s="13"/>
      <c r="C2" s="13"/>
      <c r="D2" s="13"/>
      <c r="E2" s="13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13" t="s">
        <v>2</v>
      </c>
      <c r="B3" s="13"/>
      <c r="C3" s="13"/>
      <c r="D3" s="13"/>
      <c r="E3" s="13"/>
      <c r="F3" s="1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7.5" x14ac:dyDescent="0.25">
      <c r="A5" s="3" t="s">
        <v>3</v>
      </c>
      <c r="B5" s="3" t="s">
        <v>4</v>
      </c>
      <c r="C5" s="3" t="s">
        <v>5</v>
      </c>
      <c r="D5" s="3" t="s">
        <v>10</v>
      </c>
      <c r="E5" s="3" t="s">
        <v>6</v>
      </c>
      <c r="F5" s="3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1.75" x14ac:dyDescent="0.25">
      <c r="A6" s="4">
        <v>1</v>
      </c>
      <c r="B6" s="3" t="s">
        <v>8</v>
      </c>
      <c r="C6" s="4" t="s">
        <v>9</v>
      </c>
      <c r="D6" s="5">
        <v>820</v>
      </c>
      <c r="E6" s="3" t="s">
        <v>11</v>
      </c>
      <c r="F6" s="3" t="s">
        <v>12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6" x14ac:dyDescent="0.25">
      <c r="A7" s="4">
        <v>2</v>
      </c>
      <c r="B7" s="3" t="s">
        <v>13</v>
      </c>
      <c r="C7" s="3" t="s">
        <v>14</v>
      </c>
      <c r="D7" s="5">
        <v>5</v>
      </c>
      <c r="E7" s="3" t="s">
        <v>11</v>
      </c>
      <c r="F7" s="3" t="s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7.25" x14ac:dyDescent="0.25">
      <c r="A8" s="4">
        <v>3</v>
      </c>
      <c r="B8" s="3" t="s">
        <v>15</v>
      </c>
      <c r="C8" s="4" t="s">
        <v>9</v>
      </c>
      <c r="D8" s="5">
        <v>680</v>
      </c>
      <c r="E8" s="3" t="s">
        <v>11</v>
      </c>
      <c r="F8" s="3" t="s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7.25" x14ac:dyDescent="0.25">
      <c r="A9" s="4">
        <v>4</v>
      </c>
      <c r="B9" s="3" t="s">
        <v>16</v>
      </c>
      <c r="C9" s="4" t="s">
        <v>17</v>
      </c>
      <c r="D9" s="5">
        <v>200</v>
      </c>
      <c r="E9" s="3" t="s">
        <v>11</v>
      </c>
      <c r="F9" s="3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7.25" x14ac:dyDescent="0.25">
      <c r="A10" s="4">
        <v>5</v>
      </c>
      <c r="B10" s="3" t="s">
        <v>18</v>
      </c>
      <c r="C10" s="4" t="s">
        <v>17</v>
      </c>
      <c r="D10" s="5">
        <v>225</v>
      </c>
      <c r="E10" s="3" t="s">
        <v>11</v>
      </c>
      <c r="F10" s="3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13"/>
      <c r="B12" s="13"/>
      <c r="C12" s="13"/>
      <c r="D12" s="13"/>
      <c r="E12" s="13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x14ac:dyDescent="0.2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x14ac:dyDescent="0.2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</sheetData>
  <mergeCells count="4">
    <mergeCell ref="A1:F1"/>
    <mergeCell ref="A2:F2"/>
    <mergeCell ref="A3:F3"/>
    <mergeCell ref="A12:F12"/>
  </mergeCells>
  <pageMargins left="0.7" right="0.7" top="0.75" bottom="0.75" header="0.3" footer="0.3"/>
  <pageSetup paperSize="9"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15"/>
  <sheetViews>
    <sheetView workbookViewId="0">
      <selection activeCell="A51" sqref="A51:M64"/>
    </sheetView>
  </sheetViews>
  <sheetFormatPr defaultRowHeight="15" x14ac:dyDescent="0.25"/>
  <cols>
    <col min="1" max="1" width="7" customWidth="1"/>
    <col min="2" max="2" width="39.140625" customWidth="1"/>
    <col min="3" max="3" width="11.140625" customWidth="1"/>
    <col min="4" max="4" width="11.28515625" customWidth="1"/>
    <col min="5" max="5" width="11.140625" customWidth="1"/>
    <col min="6" max="6" width="12.42578125" customWidth="1"/>
  </cols>
  <sheetData>
    <row r="1" spans="1:22" ht="62.25" customHeight="1" x14ac:dyDescent="0.25">
      <c r="A1" s="16" t="s">
        <v>19</v>
      </c>
      <c r="B1" s="17"/>
      <c r="C1" s="17"/>
      <c r="D1" s="17"/>
      <c r="E1" s="17"/>
      <c r="F1" s="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8" t="s">
        <v>55</v>
      </c>
      <c r="B2" s="18"/>
      <c r="C2" s="18"/>
      <c r="D2" s="18"/>
      <c r="E2" s="18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63" x14ac:dyDescent="0.25">
      <c r="A3" s="3" t="s">
        <v>3</v>
      </c>
      <c r="B3" s="3" t="s">
        <v>20</v>
      </c>
      <c r="C3" s="3" t="s">
        <v>5</v>
      </c>
      <c r="D3" s="3" t="s">
        <v>21</v>
      </c>
      <c r="E3" s="3" t="s">
        <v>22</v>
      </c>
      <c r="F3" s="3" t="s">
        <v>23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1.5" x14ac:dyDescent="0.25">
      <c r="A5" s="6">
        <v>1</v>
      </c>
      <c r="B5" s="7" t="s">
        <v>24</v>
      </c>
      <c r="C5" s="4" t="s">
        <v>77</v>
      </c>
      <c r="D5" s="4">
        <v>52197</v>
      </c>
      <c r="E5" s="4">
        <v>49945</v>
      </c>
      <c r="F5" s="4">
        <v>51000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6" t="s">
        <v>25</v>
      </c>
      <c r="B6" s="7" t="s">
        <v>26</v>
      </c>
      <c r="C6" s="4" t="s">
        <v>77</v>
      </c>
      <c r="D6" s="4">
        <f>5747+5943</f>
        <v>11690</v>
      </c>
      <c r="E6" s="4">
        <f>5565+5514</f>
        <v>11079</v>
      </c>
      <c r="F6" s="4">
        <v>11100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6" t="s">
        <v>27</v>
      </c>
      <c r="B7" s="7" t="s">
        <v>28</v>
      </c>
      <c r="C7" s="4" t="s">
        <v>77</v>
      </c>
      <c r="D7" s="4">
        <f>4953+4774</f>
        <v>9727</v>
      </c>
      <c r="E7" s="4">
        <f>4572+4615</f>
        <v>9187</v>
      </c>
      <c r="F7" s="4">
        <v>9200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6" t="s">
        <v>29</v>
      </c>
      <c r="B8" s="7" t="s">
        <v>30</v>
      </c>
      <c r="C8" s="4" t="s">
        <v>77</v>
      </c>
      <c r="D8" s="4">
        <f>125+98</f>
        <v>223</v>
      </c>
      <c r="E8" s="4">
        <f>35+30</f>
        <v>65</v>
      </c>
      <c r="F8" s="4">
        <v>70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1.5" x14ac:dyDescent="0.25">
      <c r="A9" s="6" t="s">
        <v>31</v>
      </c>
      <c r="B9" s="7" t="s">
        <v>32</v>
      </c>
      <c r="C9" s="4" t="s">
        <v>77</v>
      </c>
      <c r="D9" s="4">
        <f>4704+4706</f>
        <v>9410</v>
      </c>
      <c r="E9" s="4">
        <f>4186+4448</f>
        <v>8634</v>
      </c>
      <c r="F9" s="4">
        <v>8700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6" t="s">
        <v>33</v>
      </c>
      <c r="B10" s="7" t="s">
        <v>34</v>
      </c>
      <c r="C10" s="4" t="s">
        <v>77</v>
      </c>
      <c r="D10" s="4">
        <f>2649+2610</f>
        <v>5259</v>
      </c>
      <c r="E10" s="4">
        <f>2628+2340</f>
        <v>4968</v>
      </c>
      <c r="F10" s="4">
        <v>5000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6"/>
      <c r="B11" s="7"/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63" x14ac:dyDescent="0.25">
      <c r="A12" s="6">
        <v>2</v>
      </c>
      <c r="B12" s="7" t="s">
        <v>35</v>
      </c>
      <c r="C12" s="4" t="s">
        <v>77</v>
      </c>
      <c r="D12" s="4">
        <f>334622+87385</f>
        <v>422007</v>
      </c>
      <c r="E12" s="4">
        <f>903360</f>
        <v>903360</v>
      </c>
      <c r="F12" s="4">
        <f>917281-37</f>
        <v>917244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6" t="s">
        <v>36</v>
      </c>
      <c r="B13" s="7" t="s">
        <v>26</v>
      </c>
      <c r="C13" s="4" t="s">
        <v>77</v>
      </c>
      <c r="D13" s="4">
        <v>312587</v>
      </c>
      <c r="E13" s="4">
        <f>148989+632846</f>
        <v>781835</v>
      </c>
      <c r="F13" s="4">
        <f>788136-699-21</f>
        <v>787416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6" t="s">
        <v>37</v>
      </c>
      <c r="B14" s="7" t="s">
        <v>28</v>
      </c>
      <c r="C14" s="4" t="s">
        <v>77</v>
      </c>
      <c r="D14" s="4">
        <v>51672</v>
      </c>
      <c r="E14" s="4">
        <f>38821+22190</f>
        <v>61011</v>
      </c>
      <c r="F14" s="4">
        <f>64561-8</f>
        <v>64553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6" t="s">
        <v>38</v>
      </c>
      <c r="B15" s="7" t="s">
        <v>30</v>
      </c>
      <c r="C15" s="4" t="s">
        <v>77</v>
      </c>
      <c r="D15" s="4">
        <v>1558</v>
      </c>
      <c r="E15" s="4">
        <f>213+453</f>
        <v>666</v>
      </c>
      <c r="F15" s="11">
        <f>666*1.05</f>
        <v>699.30000000000007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1.5" x14ac:dyDescent="0.25">
      <c r="A16" s="6" t="s">
        <v>39</v>
      </c>
      <c r="B16" s="7" t="s">
        <v>32</v>
      </c>
      <c r="C16" s="4" t="s">
        <v>77</v>
      </c>
      <c r="D16" s="4">
        <v>22512</v>
      </c>
      <c r="E16" s="4">
        <f>15981+9754</f>
        <v>25735</v>
      </c>
      <c r="F16" s="4">
        <f>27507-4</f>
        <v>27503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6" t="s">
        <v>40</v>
      </c>
      <c r="B17" s="7" t="s">
        <v>34</v>
      </c>
      <c r="C17" s="4" t="s">
        <v>77</v>
      </c>
      <c r="D17" s="4">
        <v>18558</v>
      </c>
      <c r="E17" s="4">
        <f>7609+11765</f>
        <v>19374</v>
      </c>
      <c r="F17" s="4">
        <f>21103-3</f>
        <v>21100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25">
      <c r="A18" s="6"/>
      <c r="B18" s="7"/>
      <c r="C18" s="4"/>
      <c r="D18" s="4"/>
      <c r="E18" s="4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6">
        <v>3</v>
      </c>
      <c r="B19" s="7" t="s">
        <v>41</v>
      </c>
      <c r="C19" s="4" t="s">
        <v>77</v>
      </c>
      <c r="D19" s="4">
        <v>-369810</v>
      </c>
      <c r="E19" s="4">
        <f>E5-E12</f>
        <v>-853415</v>
      </c>
      <c r="F19" s="4">
        <f>F5-F12</f>
        <v>-866244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31.5" x14ac:dyDescent="0.25">
      <c r="A20" s="6">
        <v>4</v>
      </c>
      <c r="B20" s="7" t="s">
        <v>42</v>
      </c>
      <c r="C20" s="4" t="s">
        <v>77</v>
      </c>
      <c r="D20" s="4">
        <v>0</v>
      </c>
      <c r="E20" s="4">
        <v>0</v>
      </c>
      <c r="F20" s="4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x14ac:dyDescent="0.25">
      <c r="A21" s="6">
        <v>5</v>
      </c>
      <c r="B21" s="7" t="s">
        <v>43</v>
      </c>
      <c r="C21" s="4" t="s">
        <v>77</v>
      </c>
      <c r="D21" s="4">
        <v>0</v>
      </c>
      <c r="E21" s="4">
        <v>0</v>
      </c>
      <c r="F21" s="4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6">
        <v>6</v>
      </c>
      <c r="B22" s="7" t="s">
        <v>44</v>
      </c>
      <c r="C22" s="4" t="s">
        <v>77</v>
      </c>
      <c r="D22" s="4">
        <v>0</v>
      </c>
      <c r="E22" s="4">
        <v>0</v>
      </c>
      <c r="F22" s="4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6">
        <v>7</v>
      </c>
      <c r="B23" s="7" t="s">
        <v>45</v>
      </c>
      <c r="C23" s="4" t="s">
        <v>77</v>
      </c>
      <c r="D23" s="4">
        <v>213445</v>
      </c>
      <c r="E23" s="4">
        <f>232109+26757</f>
        <v>258866</v>
      </c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6">
        <v>8</v>
      </c>
      <c r="B24" s="7" t="s">
        <v>46</v>
      </c>
      <c r="C24" s="4" t="s">
        <v>77</v>
      </c>
      <c r="D24" s="4">
        <v>90</v>
      </c>
      <c r="E24" s="4">
        <v>12</v>
      </c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31.5" x14ac:dyDescent="0.25">
      <c r="A25" s="6">
        <v>9</v>
      </c>
      <c r="B25" s="7" t="s">
        <v>47</v>
      </c>
      <c r="C25" s="4" t="s">
        <v>77</v>
      </c>
      <c r="D25" s="4">
        <v>-156455</v>
      </c>
      <c r="E25" s="4">
        <f>E19+E23+E24</f>
        <v>-594537</v>
      </c>
      <c r="F25" s="4">
        <f>F19+F23+F24</f>
        <v>-866244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6">
        <v>10</v>
      </c>
      <c r="B26" s="7" t="s">
        <v>48</v>
      </c>
      <c r="C26" s="4" t="s">
        <v>77</v>
      </c>
      <c r="D26" s="4">
        <v>0</v>
      </c>
      <c r="E26" s="4">
        <v>0</v>
      </c>
      <c r="F26" s="4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31.5" x14ac:dyDescent="0.25">
      <c r="A27" s="8" t="s">
        <v>49</v>
      </c>
      <c r="B27" s="7" t="s">
        <v>50</v>
      </c>
      <c r="C27" s="4" t="s">
        <v>77</v>
      </c>
      <c r="D27" s="4">
        <v>0</v>
      </c>
      <c r="E27" s="4">
        <v>0</v>
      </c>
      <c r="F27" s="4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31.5" x14ac:dyDescent="0.25">
      <c r="A28" s="6">
        <v>11</v>
      </c>
      <c r="B28" s="7" t="s">
        <v>51</v>
      </c>
      <c r="C28" s="4" t="s">
        <v>77</v>
      </c>
      <c r="D28" s="4">
        <v>0</v>
      </c>
      <c r="E28" s="4">
        <v>0</v>
      </c>
      <c r="F28" s="4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31.5" x14ac:dyDescent="0.25">
      <c r="A29" s="6">
        <v>12</v>
      </c>
      <c r="B29" s="7" t="s">
        <v>52</v>
      </c>
      <c r="C29" s="4" t="s">
        <v>77</v>
      </c>
      <c r="D29" s="4">
        <v>31291</v>
      </c>
      <c r="E29" s="4">
        <v>0</v>
      </c>
      <c r="F29" s="4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6">
        <v>13</v>
      </c>
      <c r="B30" s="7" t="s">
        <v>53</v>
      </c>
      <c r="C30" s="4" t="s">
        <v>77</v>
      </c>
      <c r="D30" s="4">
        <v>184</v>
      </c>
      <c r="E30" s="4">
        <v>0</v>
      </c>
      <c r="F30" s="4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6">
        <v>14</v>
      </c>
      <c r="B31" s="7" t="s">
        <v>54</v>
      </c>
      <c r="C31" s="4" t="s">
        <v>77</v>
      </c>
      <c r="D31" s="4">
        <v>-125348</v>
      </c>
      <c r="E31" s="4">
        <f>E25</f>
        <v>-594537</v>
      </c>
      <c r="F31" s="4">
        <f>F25</f>
        <v>-866244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3"/>
      <c r="B32" s="13"/>
      <c r="C32" s="13"/>
      <c r="D32" s="13"/>
      <c r="E32" s="13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3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37" ht="15.75" x14ac:dyDescent="0.25">
      <c r="A34" s="13" t="s">
        <v>56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/>
      <c r="O34" s="1"/>
      <c r="P34" s="1"/>
      <c r="Q34" s="1"/>
      <c r="R34" s="1"/>
      <c r="S34" s="1"/>
      <c r="T34" s="1"/>
      <c r="U34" s="1"/>
      <c r="V34" s="1"/>
    </row>
    <row r="35" spans="1:37" ht="15.75" x14ac:dyDescent="0.25">
      <c r="A35" s="1"/>
      <c r="B35" s="14" t="s">
        <v>57</v>
      </c>
      <c r="C35" s="14" t="s">
        <v>58</v>
      </c>
      <c r="D35" s="15" t="s">
        <v>78</v>
      </c>
      <c r="E35" s="15"/>
      <c r="F35" s="15"/>
      <c r="G35" s="15"/>
      <c r="H35" s="15"/>
      <c r="I35" s="15"/>
      <c r="J35" s="15"/>
      <c r="K35" s="15"/>
      <c r="L35" s="15"/>
      <c r="M35" s="15"/>
      <c r="N35" s="15" t="s">
        <v>22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 t="s">
        <v>79</v>
      </c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7" ht="39" customHeight="1" x14ac:dyDescent="0.25">
      <c r="A36" s="13"/>
      <c r="B36" s="14"/>
      <c r="C36" s="14"/>
      <c r="D36" s="14" t="s">
        <v>59</v>
      </c>
      <c r="E36" s="14"/>
      <c r="F36" s="14"/>
      <c r="G36" s="14"/>
      <c r="H36" s="14"/>
      <c r="I36" s="14"/>
      <c r="J36" s="14"/>
      <c r="K36" s="14"/>
      <c r="L36" s="14"/>
      <c r="M36" s="14"/>
      <c r="N36" s="14" t="s">
        <v>58</v>
      </c>
      <c r="O36" s="14" t="s">
        <v>59</v>
      </c>
      <c r="P36" s="14"/>
      <c r="Q36" s="14"/>
      <c r="R36" s="14"/>
      <c r="S36" s="14"/>
      <c r="T36" s="14"/>
      <c r="U36" s="14"/>
      <c r="V36" s="14"/>
      <c r="W36" s="14"/>
      <c r="X36" s="14"/>
      <c r="Y36" s="14" t="s">
        <v>58</v>
      </c>
      <c r="Z36" s="14" t="s">
        <v>59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9"/>
      <c r="AK36" s="9"/>
    </row>
    <row r="37" spans="1:37" ht="141" x14ac:dyDescent="0.25">
      <c r="A37" s="13"/>
      <c r="B37" s="14"/>
      <c r="C37" s="14"/>
      <c r="D37" s="10" t="s">
        <v>60</v>
      </c>
      <c r="E37" s="10" t="s">
        <v>61</v>
      </c>
      <c r="F37" s="10" t="s">
        <v>62</v>
      </c>
      <c r="G37" s="10" t="s">
        <v>63</v>
      </c>
      <c r="H37" s="10" t="s">
        <v>64</v>
      </c>
      <c r="I37" s="10" t="s">
        <v>65</v>
      </c>
      <c r="J37" s="12" t="s">
        <v>66</v>
      </c>
      <c r="K37" s="12" t="s">
        <v>67</v>
      </c>
      <c r="L37" s="12" t="s">
        <v>68</v>
      </c>
      <c r="M37" s="12" t="s">
        <v>69</v>
      </c>
      <c r="N37" s="14"/>
      <c r="O37" s="10" t="s">
        <v>60</v>
      </c>
      <c r="P37" s="10" t="s">
        <v>61</v>
      </c>
      <c r="Q37" s="10" t="s">
        <v>62</v>
      </c>
      <c r="R37" s="10" t="s">
        <v>63</v>
      </c>
      <c r="S37" s="10" t="s">
        <v>64</v>
      </c>
      <c r="T37" s="10" t="s">
        <v>65</v>
      </c>
      <c r="U37" s="10" t="s">
        <v>66</v>
      </c>
      <c r="V37" s="10" t="s">
        <v>67</v>
      </c>
      <c r="W37" s="10" t="s">
        <v>68</v>
      </c>
      <c r="X37" s="10" t="s">
        <v>69</v>
      </c>
      <c r="Y37" s="14"/>
      <c r="Z37" s="10" t="s">
        <v>60</v>
      </c>
      <c r="AA37" s="10" t="s">
        <v>61</v>
      </c>
      <c r="AB37" s="10" t="s">
        <v>62</v>
      </c>
      <c r="AC37" s="10" t="s">
        <v>63</v>
      </c>
      <c r="AD37" s="10" t="s">
        <v>64</v>
      </c>
      <c r="AE37" s="10" t="s">
        <v>65</v>
      </c>
      <c r="AF37" s="10" t="s">
        <v>66</v>
      </c>
      <c r="AG37" s="10" t="s">
        <v>67</v>
      </c>
      <c r="AH37" s="10" t="s">
        <v>68</v>
      </c>
      <c r="AI37" s="10" t="s">
        <v>69</v>
      </c>
      <c r="AJ37" s="9"/>
      <c r="AK37" s="9"/>
    </row>
    <row r="38" spans="1:37" ht="15.75" x14ac:dyDescent="0.25">
      <c r="A38" s="1"/>
      <c r="B38" s="3" t="s">
        <v>70</v>
      </c>
      <c r="C38" s="11"/>
      <c r="D38" s="4"/>
      <c r="E38" s="4"/>
      <c r="F38" s="4"/>
      <c r="G38" s="11"/>
      <c r="H38" s="4"/>
      <c r="I38" s="4"/>
      <c r="J38" s="11"/>
      <c r="K38" s="4"/>
      <c r="L38" s="4"/>
      <c r="M38" s="11"/>
      <c r="N38" s="11"/>
      <c r="O38" s="4"/>
      <c r="P38" s="4"/>
      <c r="Q38" s="4"/>
      <c r="R38" s="11"/>
      <c r="S38" s="4"/>
      <c r="T38" s="4"/>
      <c r="U38" s="11"/>
      <c r="V38" s="4"/>
      <c r="W38" s="4"/>
      <c r="X38" s="11"/>
      <c r="Y38" s="11"/>
      <c r="Z38" s="4"/>
      <c r="AA38" s="11"/>
      <c r="AB38" s="4"/>
      <c r="AC38" s="11"/>
      <c r="AD38" s="4"/>
      <c r="AE38" s="4"/>
      <c r="AF38" s="11"/>
      <c r="AG38" s="4"/>
      <c r="AH38" s="4"/>
      <c r="AI38" s="11"/>
      <c r="AJ38" s="9"/>
      <c r="AK38" s="9"/>
    </row>
    <row r="39" spans="1:37" ht="31.5" x14ac:dyDescent="0.25">
      <c r="A39" s="1"/>
      <c r="B39" s="3" t="s">
        <v>71</v>
      </c>
      <c r="C39" s="11">
        <f t="shared" ref="C39:C46" si="0">D39+E39+F39+G39+H39+I39+J39+K39+L39+M39</f>
        <v>314189.95489159995</v>
      </c>
      <c r="D39" s="4"/>
      <c r="E39" s="4">
        <f>1856+13+435+1+2181+31+5723+37+1341+4+2614+46+846+12+3788+66</f>
        <v>18994</v>
      </c>
      <c r="F39" s="4">
        <f>21745+311+18696+328</f>
        <v>41080</v>
      </c>
      <c r="G39" s="11">
        <f>F39*28.0902%</f>
        <v>11539.454159999999</v>
      </c>
      <c r="H39" s="4">
        <v>203053</v>
      </c>
      <c r="I39" s="4">
        <v>39479</v>
      </c>
      <c r="J39" s="11">
        <f>F39*0.08928%</f>
        <v>36.676223999999998</v>
      </c>
      <c r="K39" s="4"/>
      <c r="L39" s="4"/>
      <c r="M39" s="11">
        <f>F39*0.019047%</f>
        <v>7.8245076000000005</v>
      </c>
      <c r="N39" s="11">
        <f t="shared" ref="N39:N46" si="1">O39+P39+Q39+R39+S39+T39+U39+V39+W39+X39</f>
        <v>782508.06274085201</v>
      </c>
      <c r="O39" s="4"/>
      <c r="P39" s="4">
        <f>4220+461+2431+13+1+31+886+4+6867+1368+3028+14+1+15+4388+22</f>
        <v>23750</v>
      </c>
      <c r="Q39" s="4">
        <f>24636+108+22500+110</f>
        <v>47354</v>
      </c>
      <c r="R39" s="11">
        <f>Q39*28.099984%</f>
        <v>13306.46642336</v>
      </c>
      <c r="S39" s="4">
        <v>622621</v>
      </c>
      <c r="T39" s="4">
        <f>3959+12445+20+55+25+5905+52830+260-29</f>
        <v>75470</v>
      </c>
      <c r="U39" s="11">
        <f>Q39*0.0139298%</f>
        <v>6.5963174920000007</v>
      </c>
      <c r="V39" s="4"/>
      <c r="W39" s="4"/>
      <c r="X39" s="11"/>
      <c r="Y39" s="11">
        <f t="shared" ref="Y39:Y46" si="2">Z39+AA39+AB39+AC39+AD39+AE39+AF39+AG39+AH39+AI39</f>
        <v>788135.76056403201</v>
      </c>
      <c r="Z39" s="4"/>
      <c r="AA39" s="11">
        <f>(4220+461+2431+13+1+31+886+4+6867+1368+3028+14+1+15+4388+22)*1.05</f>
        <v>24937.5</v>
      </c>
      <c r="AB39" s="4">
        <v>49248</v>
      </c>
      <c r="AC39" s="11">
        <f>AB39*28.099984%</f>
        <v>13838.680120319999</v>
      </c>
      <c r="AD39" s="4">
        <v>622621</v>
      </c>
      <c r="AE39" s="4">
        <f>3959+12445+20+55+25+5905+52830+260-29+2000</f>
        <v>77470</v>
      </c>
      <c r="AF39" s="11">
        <f>AB39*0.0139298%*3</f>
        <v>20.580443712000001</v>
      </c>
      <c r="AG39" s="4"/>
      <c r="AH39" s="4"/>
      <c r="AI39" s="11"/>
    </row>
    <row r="40" spans="1:37" ht="31.5" x14ac:dyDescent="0.25">
      <c r="A40" s="1"/>
      <c r="B40" s="3" t="s">
        <v>32</v>
      </c>
      <c r="C40" s="11">
        <f t="shared" si="0"/>
        <v>22522.622920949998</v>
      </c>
      <c r="D40" s="4"/>
      <c r="E40" s="4">
        <f>193+106+137+331+894+217</f>
        <v>1878</v>
      </c>
      <c r="F40" s="4">
        <f>5571+4414</f>
        <v>9985</v>
      </c>
      <c r="G40" s="11">
        <f t="shared" ref="G40:G42" si="3">F40*28.0902%</f>
        <v>2804.80647</v>
      </c>
      <c r="H40" s="4"/>
      <c r="I40" s="4">
        <f>2776+5068</f>
        <v>7844</v>
      </c>
      <c r="J40" s="11">
        <f t="shared" ref="J40:J42" si="4">F40*0.08928%</f>
        <v>8.9146079999999994</v>
      </c>
      <c r="K40" s="4"/>
      <c r="L40" s="4"/>
      <c r="M40" s="11">
        <f t="shared" ref="M40:M42" si="5">F40*0.019047%</f>
        <v>1.90184295</v>
      </c>
      <c r="N40" s="11">
        <f t="shared" si="1"/>
        <v>25736.109947527999</v>
      </c>
      <c r="O40" s="4"/>
      <c r="P40" s="4">
        <f>783+258+375+185+97+287</f>
        <v>1985</v>
      </c>
      <c r="Q40" s="4">
        <f>4014+5142</f>
        <v>9156</v>
      </c>
      <c r="R40" s="11">
        <f t="shared" ref="R40:R42" si="6">Q40*28.099984%</f>
        <v>2572.83453504</v>
      </c>
      <c r="S40" s="4"/>
      <c r="T40" s="4">
        <v>12021</v>
      </c>
      <c r="U40" s="11">
        <f t="shared" ref="U40:U42" si="7">Q40*0.0139298%</f>
        <v>1.2754124880000002</v>
      </c>
      <c r="V40" s="4"/>
      <c r="W40" s="4"/>
      <c r="X40" s="11"/>
      <c r="Y40" s="11">
        <f t="shared" si="2"/>
        <v>27506.659663147999</v>
      </c>
      <c r="Z40" s="4"/>
      <c r="AA40" s="11">
        <v>2084</v>
      </c>
      <c r="AB40" s="4">
        <v>9522</v>
      </c>
      <c r="AC40" s="11">
        <f t="shared" ref="AC40:AC42" si="8">AB40*28.099984%</f>
        <v>2675.6804764799999</v>
      </c>
      <c r="AD40" s="4"/>
      <c r="AE40" s="4">
        <f>12021+1200</f>
        <v>13221</v>
      </c>
      <c r="AF40" s="11">
        <f t="shared" ref="AF40:AF42" si="9">AB40*0.0139298%*3</f>
        <v>3.9791866680000005</v>
      </c>
      <c r="AG40" s="4"/>
      <c r="AH40" s="4"/>
      <c r="AI40" s="11"/>
    </row>
    <row r="41" spans="1:37" ht="31.5" x14ac:dyDescent="0.25">
      <c r="A41" s="1"/>
      <c r="B41" s="3" t="s">
        <v>72</v>
      </c>
      <c r="C41" s="11">
        <f t="shared" si="0"/>
        <v>51691.96278139999</v>
      </c>
      <c r="D41" s="4"/>
      <c r="E41" s="4">
        <f>66+161+45+53+338+2055</f>
        <v>2718</v>
      </c>
      <c r="F41" s="4">
        <f>8678+10142</f>
        <v>18820</v>
      </c>
      <c r="G41" s="11">
        <f t="shared" si="3"/>
        <v>5286.57564</v>
      </c>
      <c r="H41" s="4"/>
      <c r="I41" s="4">
        <f>4441+11645+4437+4324</f>
        <v>24847</v>
      </c>
      <c r="J41" s="11">
        <f t="shared" si="4"/>
        <v>16.802496000000001</v>
      </c>
      <c r="K41" s="4"/>
      <c r="L41" s="4"/>
      <c r="M41" s="11">
        <f t="shared" si="5"/>
        <v>3.5846454000000003</v>
      </c>
      <c r="N41" s="11">
        <f t="shared" si="1"/>
        <v>61013.191318827994</v>
      </c>
      <c r="O41" s="4"/>
      <c r="P41" s="4">
        <f>60+68+329+64+152+1726</f>
        <v>2399</v>
      </c>
      <c r="Q41" s="4">
        <f>9155+8851</f>
        <v>18006</v>
      </c>
      <c r="R41" s="11">
        <f t="shared" si="6"/>
        <v>5059.6831190399998</v>
      </c>
      <c r="S41" s="4"/>
      <c r="T41" s="4">
        <v>35546</v>
      </c>
      <c r="U41" s="11">
        <f t="shared" si="7"/>
        <v>2.5081997880000002</v>
      </c>
      <c r="V41" s="4"/>
      <c r="W41" s="4"/>
      <c r="X41" s="11"/>
      <c r="Y41" s="11">
        <f t="shared" si="2"/>
        <v>64560.828486883998</v>
      </c>
      <c r="Z41" s="4"/>
      <c r="AA41" s="11">
        <v>2519</v>
      </c>
      <c r="AB41" s="4">
        <v>18726</v>
      </c>
      <c r="AC41" s="11">
        <f t="shared" si="8"/>
        <v>5262.00300384</v>
      </c>
      <c r="AD41" s="4"/>
      <c r="AE41" s="4">
        <f>2500+35546</f>
        <v>38046</v>
      </c>
      <c r="AF41" s="11">
        <f t="shared" si="9"/>
        <v>7.8254830440000003</v>
      </c>
      <c r="AG41" s="4"/>
      <c r="AH41" s="4"/>
      <c r="AI41" s="11"/>
    </row>
    <row r="42" spans="1:37" ht="15.75" x14ac:dyDescent="0.25">
      <c r="A42" s="1"/>
      <c r="B42" s="3" t="s">
        <v>34</v>
      </c>
      <c r="C42" s="11">
        <f t="shared" si="0"/>
        <v>18566.26269195</v>
      </c>
      <c r="D42" s="4"/>
      <c r="E42" s="4">
        <f>162+122+400+373+189+461+669+155</f>
        <v>2531</v>
      </c>
      <c r="F42" s="4">
        <f>3985+3300</f>
        <v>7285</v>
      </c>
      <c r="G42" s="11">
        <f t="shared" si="3"/>
        <v>2046.3710699999999</v>
      </c>
      <c r="H42" s="4"/>
      <c r="I42" s="4">
        <v>6696</v>
      </c>
      <c r="J42" s="11">
        <f t="shared" si="4"/>
        <v>6.5040480000000001</v>
      </c>
      <c r="K42" s="4"/>
      <c r="L42" s="4"/>
      <c r="M42" s="11">
        <f t="shared" si="5"/>
        <v>1.3875739500000002</v>
      </c>
      <c r="N42" s="11">
        <f t="shared" si="1"/>
        <v>19375.283290254003</v>
      </c>
      <c r="O42" s="4"/>
      <c r="P42" s="4">
        <f>512+354+166+344+128+351+148+186</f>
        <v>2189</v>
      </c>
      <c r="Q42" s="4">
        <f>2627+3556</f>
        <v>6183</v>
      </c>
      <c r="R42" s="11">
        <f t="shared" si="6"/>
        <v>1737.4220107200001</v>
      </c>
      <c r="S42" s="4"/>
      <c r="T42" s="4">
        <v>9265</v>
      </c>
      <c r="U42" s="11">
        <f t="shared" si="7"/>
        <v>0.86127953400000012</v>
      </c>
      <c r="V42" s="4"/>
      <c r="W42" s="4"/>
      <c r="X42" s="11"/>
      <c r="Y42" s="11">
        <f t="shared" si="2"/>
        <v>21102.516029620001</v>
      </c>
      <c r="Z42" s="4"/>
      <c r="AA42" s="11">
        <v>2298</v>
      </c>
      <c r="AB42" s="4">
        <v>6430</v>
      </c>
      <c r="AC42" s="11">
        <f t="shared" si="8"/>
        <v>1806.8289712000001</v>
      </c>
      <c r="AD42" s="4"/>
      <c r="AE42" s="4">
        <f>1300+9265</f>
        <v>10565</v>
      </c>
      <c r="AF42" s="11">
        <f t="shared" si="9"/>
        <v>2.6870584200000005</v>
      </c>
      <c r="AG42" s="4"/>
      <c r="AH42" s="4"/>
      <c r="AI42" s="11"/>
    </row>
    <row r="43" spans="1:37" ht="15.75" x14ac:dyDescent="0.25">
      <c r="A43" s="1"/>
      <c r="B43" s="3" t="s">
        <v>73</v>
      </c>
      <c r="C43" s="11">
        <f t="shared" si="0"/>
        <v>0</v>
      </c>
      <c r="D43" s="4"/>
      <c r="E43" s="4"/>
      <c r="F43" s="4"/>
      <c r="G43" s="11"/>
      <c r="H43" s="4"/>
      <c r="I43" s="4"/>
      <c r="J43" s="11"/>
      <c r="K43" s="4"/>
      <c r="L43" s="4"/>
      <c r="M43" s="11"/>
      <c r="N43" s="11">
        <f t="shared" si="1"/>
        <v>0</v>
      </c>
      <c r="O43" s="4"/>
      <c r="P43" s="4"/>
      <c r="Q43" s="4"/>
      <c r="R43" s="11"/>
      <c r="S43" s="4"/>
      <c r="T43" s="4"/>
      <c r="U43" s="11"/>
      <c r="V43" s="4"/>
      <c r="W43" s="4"/>
      <c r="X43" s="11"/>
      <c r="Y43" s="11">
        <f t="shared" si="2"/>
        <v>0</v>
      </c>
      <c r="Z43" s="4"/>
      <c r="AA43" s="11"/>
      <c r="AB43" s="4"/>
      <c r="AC43" s="11"/>
      <c r="AD43" s="4"/>
      <c r="AE43" s="4"/>
      <c r="AF43" s="11"/>
      <c r="AG43" s="4"/>
      <c r="AH43" s="4"/>
      <c r="AI43" s="11"/>
    </row>
    <row r="44" spans="1:37" ht="15.75" x14ac:dyDescent="0.25">
      <c r="A44" s="1"/>
      <c r="B44" s="3" t="s">
        <v>74</v>
      </c>
      <c r="C44" s="11">
        <f t="shared" si="0"/>
        <v>0</v>
      </c>
      <c r="D44" s="4"/>
      <c r="E44" s="4"/>
      <c r="F44" s="4"/>
      <c r="G44" s="11"/>
      <c r="H44" s="4"/>
      <c r="I44" s="4"/>
      <c r="J44" s="11"/>
      <c r="K44" s="4"/>
      <c r="L44" s="4"/>
      <c r="M44" s="11"/>
      <c r="N44" s="11">
        <f t="shared" si="1"/>
        <v>0</v>
      </c>
      <c r="O44" s="4"/>
      <c r="P44" s="4"/>
      <c r="Q44" s="4"/>
      <c r="R44" s="11"/>
      <c r="S44" s="4"/>
      <c r="T44" s="4"/>
      <c r="U44" s="11"/>
      <c r="V44" s="4"/>
      <c r="W44" s="4"/>
      <c r="X44" s="11"/>
      <c r="Y44" s="11">
        <f t="shared" si="2"/>
        <v>0</v>
      </c>
      <c r="Z44" s="4"/>
      <c r="AA44" s="11"/>
      <c r="AB44" s="4"/>
      <c r="AC44" s="11"/>
      <c r="AD44" s="4"/>
      <c r="AE44" s="4"/>
      <c r="AF44" s="11"/>
      <c r="AG44" s="4"/>
      <c r="AH44" s="4"/>
      <c r="AI44" s="11"/>
    </row>
    <row r="45" spans="1:37" ht="15.75" x14ac:dyDescent="0.25">
      <c r="A45" s="1"/>
      <c r="B45" s="3" t="s">
        <v>75</v>
      </c>
      <c r="C45" s="11">
        <f t="shared" si="0"/>
        <v>406970.80328589998</v>
      </c>
      <c r="D45" s="4">
        <v>0</v>
      </c>
      <c r="E45" s="4">
        <f>SUM(E39:E44)</f>
        <v>26121</v>
      </c>
      <c r="F45" s="4">
        <f>SUM(F39:F44)</f>
        <v>77170</v>
      </c>
      <c r="G45" s="11">
        <f t="shared" ref="G45:M45" si="10">SUM(G39:G44)</f>
        <v>21677.207340000001</v>
      </c>
      <c r="H45" s="4">
        <f t="shared" si="10"/>
        <v>203053</v>
      </c>
      <c r="I45" s="4">
        <f t="shared" si="10"/>
        <v>78866</v>
      </c>
      <c r="J45" s="11">
        <f t="shared" si="10"/>
        <v>68.897375999999994</v>
      </c>
      <c r="K45" s="4">
        <f t="shared" si="10"/>
        <v>0</v>
      </c>
      <c r="L45" s="4">
        <f t="shared" si="10"/>
        <v>0</v>
      </c>
      <c r="M45" s="11">
        <f t="shared" si="10"/>
        <v>14.698569900000003</v>
      </c>
      <c r="N45" s="11">
        <f t="shared" si="1"/>
        <v>888632.64729746198</v>
      </c>
      <c r="O45" s="4">
        <v>0</v>
      </c>
      <c r="P45" s="4">
        <f>SUM(P39:P44)</f>
        <v>30323</v>
      </c>
      <c r="Q45" s="4">
        <f>SUM(Q39:Q44)</f>
        <v>80699</v>
      </c>
      <c r="R45" s="11">
        <f t="shared" ref="R45:X45" si="11">SUM(R39:R44)</f>
        <v>22676.406088160002</v>
      </c>
      <c r="S45" s="4">
        <f t="shared" si="11"/>
        <v>622621</v>
      </c>
      <c r="T45" s="4">
        <f t="shared" si="11"/>
        <v>132302</v>
      </c>
      <c r="U45" s="11">
        <f t="shared" si="11"/>
        <v>11.241209302000001</v>
      </c>
      <c r="V45" s="4">
        <f t="shared" si="11"/>
        <v>0</v>
      </c>
      <c r="W45" s="4">
        <f t="shared" si="11"/>
        <v>0</v>
      </c>
      <c r="X45" s="11">
        <f t="shared" si="11"/>
        <v>0</v>
      </c>
      <c r="Y45" s="11">
        <f t="shared" si="2"/>
        <v>901305.76474368398</v>
      </c>
      <c r="Z45" s="4">
        <v>0</v>
      </c>
      <c r="AA45" s="11">
        <f>SUM(AA39:AA44)</f>
        <v>31838.5</v>
      </c>
      <c r="AB45" s="4">
        <f>SUM(AB39:AB44)</f>
        <v>83926</v>
      </c>
      <c r="AC45" s="11">
        <f t="shared" ref="AC45:AI45" si="12">SUM(AC39:AC44)</f>
        <v>23583.192571839998</v>
      </c>
      <c r="AD45" s="4">
        <f t="shared" si="12"/>
        <v>622621</v>
      </c>
      <c r="AE45" s="4">
        <f t="shared" si="12"/>
        <v>139302</v>
      </c>
      <c r="AF45" s="11">
        <f t="shared" si="12"/>
        <v>35.072171844000003</v>
      </c>
      <c r="AG45" s="4">
        <f t="shared" si="12"/>
        <v>0</v>
      </c>
      <c r="AH45" s="4">
        <f t="shared" si="12"/>
        <v>0</v>
      </c>
      <c r="AI45" s="11">
        <f t="shared" si="12"/>
        <v>0</v>
      </c>
    </row>
    <row r="46" spans="1:37" ht="15.75" x14ac:dyDescent="0.25">
      <c r="A46" s="1"/>
      <c r="B46" s="3" t="s">
        <v>76</v>
      </c>
      <c r="C46" s="11">
        <f t="shared" si="0"/>
        <v>15127.523364639999</v>
      </c>
      <c r="D46" s="4">
        <v>0</v>
      </c>
      <c r="E46" s="4">
        <f>27450-26121</f>
        <v>1329</v>
      </c>
      <c r="F46" s="4">
        <f>84002-77170</f>
        <v>6832</v>
      </c>
      <c r="G46" s="11">
        <f t="shared" ref="G46" si="13">F46*28.0902%</f>
        <v>1919.1224639999998</v>
      </c>
      <c r="H46" s="4">
        <v>0</v>
      </c>
      <c r="I46" s="4">
        <v>5040</v>
      </c>
      <c r="J46" s="11">
        <f t="shared" ref="J46" si="14">F46*0.08928%</f>
        <v>6.0996096</v>
      </c>
      <c r="K46" s="4">
        <v>0</v>
      </c>
      <c r="L46" s="4">
        <v>0</v>
      </c>
      <c r="M46" s="11">
        <f t="shared" ref="M46" si="15">F46*0.019047%</f>
        <v>1.3012910400000002</v>
      </c>
      <c r="N46" s="11">
        <f t="shared" si="1"/>
        <v>14739.364884686</v>
      </c>
      <c r="O46" s="4">
        <v>0</v>
      </c>
      <c r="P46" s="4">
        <f>31433-30323</f>
        <v>1110</v>
      </c>
      <c r="Q46" s="4">
        <f>86146-80699</f>
        <v>5447</v>
      </c>
      <c r="R46" s="11">
        <f t="shared" ref="R46" si="16">Q46*28.099984%</f>
        <v>1530.6061284800001</v>
      </c>
      <c r="S46" s="4">
        <v>0</v>
      </c>
      <c r="T46" s="4">
        <f>138953-132332+30</f>
        <v>6651</v>
      </c>
      <c r="U46" s="11">
        <f t="shared" ref="U46" si="17">Q46*0.0139298%</f>
        <v>0.75875620600000016</v>
      </c>
      <c r="V46" s="4">
        <v>0</v>
      </c>
      <c r="W46" s="4">
        <v>0</v>
      </c>
      <c r="X46" s="11">
        <v>0</v>
      </c>
      <c r="Y46" s="11">
        <f t="shared" si="2"/>
        <v>15975.23146311</v>
      </c>
      <c r="Z46" s="4">
        <v>0</v>
      </c>
      <c r="AA46" s="11">
        <v>1165</v>
      </c>
      <c r="AB46" s="4">
        <v>5665</v>
      </c>
      <c r="AC46" s="11">
        <f t="shared" ref="AC46" si="18">AB46*28.099984%</f>
        <v>1591.8640935999999</v>
      </c>
      <c r="AD46" s="4">
        <v>0</v>
      </c>
      <c r="AE46" s="4">
        <f>138953-132332+30+900</f>
        <v>7551</v>
      </c>
      <c r="AF46" s="11">
        <f t="shared" ref="AF46" si="19">AB46*0.0139298%*3</f>
        <v>2.3673695100000005</v>
      </c>
      <c r="AG46" s="4">
        <v>0</v>
      </c>
      <c r="AH46" s="4">
        <v>0</v>
      </c>
      <c r="AI46" s="11">
        <v>0</v>
      </c>
    </row>
    <row r="47" spans="1:3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3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</sheetData>
  <mergeCells count="15">
    <mergeCell ref="A34:M34"/>
    <mergeCell ref="A1:F1"/>
    <mergeCell ref="A2:F2"/>
    <mergeCell ref="A36:A37"/>
    <mergeCell ref="D36:M36"/>
    <mergeCell ref="A32:F32"/>
    <mergeCell ref="D35:M35"/>
    <mergeCell ref="Y36:Y37"/>
    <mergeCell ref="Z36:AI36"/>
    <mergeCell ref="Y35:AI35"/>
    <mergeCell ref="B35:B37"/>
    <mergeCell ref="C35:C37"/>
    <mergeCell ref="N36:N37"/>
    <mergeCell ref="O36:X36"/>
    <mergeCell ref="N35:X35"/>
  </mergeCells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1-159</vt:lpstr>
      <vt:lpstr>2-159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2018-05-15T04:23:57Z</dcterms:modified>
</cp:coreProperties>
</file>